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14\"/>
    </mc:Choice>
  </mc:AlternateContent>
  <bookViews>
    <workbookView xWindow="0" yWindow="0" windowWidth="19305" windowHeight="8085"/>
  </bookViews>
  <sheets>
    <sheet name="CT1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1" l="1"/>
  <c r="L2" i="1"/>
  <c r="Z2" i="1"/>
  <c r="Y2" i="1"/>
  <c r="W2" i="1"/>
  <c r="U2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F17" i="1"/>
  <c r="H17" i="1" s="1"/>
  <c r="F16" i="1"/>
  <c r="H16" i="1" s="1"/>
  <c r="F15" i="1"/>
  <c r="F14" i="1"/>
  <c r="F13" i="1"/>
  <c r="H13" i="1" s="1"/>
  <c r="F12" i="1"/>
  <c r="H12" i="1" s="1"/>
  <c r="F11" i="1"/>
  <c r="F10" i="1"/>
  <c r="F9" i="1"/>
  <c r="H9" i="1" s="1"/>
  <c r="F8" i="1"/>
  <c r="H8" i="1" s="1"/>
  <c r="F7" i="1"/>
  <c r="F6" i="1"/>
  <c r="F5" i="1"/>
  <c r="H5" i="1" s="1"/>
  <c r="F4" i="1"/>
  <c r="H4" i="1" s="1"/>
  <c r="F3" i="1"/>
  <c r="F2" i="1"/>
  <c r="H2" i="1" l="1"/>
  <c r="H6" i="1"/>
  <c r="H10" i="1"/>
  <c r="H14" i="1"/>
  <c r="H3" i="1"/>
  <c r="H7" i="1"/>
  <c r="H11" i="1"/>
  <c r="H15" i="1"/>
  <c r="AA16" i="1" l="1"/>
  <c r="AA15" i="1"/>
  <c r="AA14" i="1"/>
  <c r="AA13" i="1"/>
  <c r="AA12" i="1"/>
  <c r="AA11" i="1"/>
  <c r="AA10" i="1"/>
  <c r="AE9" i="1"/>
  <c r="AA9" i="1"/>
  <c r="AA8" i="1"/>
  <c r="AA7" i="1"/>
  <c r="AA6" i="1"/>
  <c r="AA5" i="1"/>
  <c r="AA4" i="1"/>
  <c r="AE3" i="1"/>
  <c r="AA3" i="1"/>
  <c r="AA2" i="1"/>
  <c r="AB12" i="1" l="1"/>
  <c r="AB16" i="1"/>
  <c r="AB10" i="1"/>
  <c r="AB14" i="1"/>
  <c r="AB9" i="1"/>
  <c r="AB11" i="1"/>
  <c r="AB13" i="1"/>
  <c r="AB15" i="1"/>
  <c r="AB2" i="1"/>
  <c r="AB3" i="1"/>
  <c r="AB4" i="1"/>
  <c r="AB5" i="1"/>
  <c r="AB6" i="1"/>
  <c r="AB7" i="1"/>
  <c r="AB8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I3" i="1" l="1"/>
  <c r="K3" i="1" s="1"/>
  <c r="I4" i="1"/>
  <c r="K4" i="1" s="1"/>
  <c r="L4" i="1" s="1"/>
  <c r="I5" i="1"/>
  <c r="K5" i="1" s="1"/>
  <c r="L5" i="1" s="1"/>
  <c r="I6" i="1"/>
  <c r="K6" i="1" s="1"/>
  <c r="L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L14" i="1" s="1"/>
  <c r="I15" i="1"/>
  <c r="K15" i="1" s="1"/>
  <c r="L15" i="1" s="1"/>
  <c r="I16" i="1"/>
  <c r="K16" i="1" s="1"/>
  <c r="I17" i="1"/>
  <c r="K17" i="1" s="1"/>
  <c r="I2" i="1"/>
  <c r="M16" i="1" l="1"/>
  <c r="L16" i="1"/>
  <c r="M12" i="1"/>
  <c r="L12" i="1"/>
  <c r="M8" i="1"/>
  <c r="L8" i="1"/>
  <c r="M11" i="1"/>
  <c r="L11" i="1"/>
  <c r="M7" i="1"/>
  <c r="L7" i="1"/>
  <c r="M3" i="1"/>
  <c r="L3" i="1"/>
  <c r="M10" i="1"/>
  <c r="L10" i="1"/>
  <c r="M17" i="1"/>
  <c r="L17" i="1"/>
  <c r="M13" i="1"/>
  <c r="L13" i="1"/>
  <c r="M9" i="1"/>
  <c r="L9" i="1"/>
  <c r="O16" i="1"/>
  <c r="X16" i="1"/>
  <c r="X11" i="1"/>
  <c r="T11" i="1"/>
  <c r="O11" i="1"/>
  <c r="T10" i="1"/>
  <c r="X10" i="1"/>
  <c r="O17" i="1"/>
  <c r="X17" i="1"/>
  <c r="O8" i="1"/>
  <c r="X8" i="1"/>
  <c r="O9" i="1"/>
  <c r="T9" i="1"/>
  <c r="X9" i="1"/>
  <c r="T7" i="1"/>
  <c r="M6" i="1"/>
  <c r="N6" i="1" s="1"/>
  <c r="M14" i="1"/>
  <c r="N14" i="1" s="1"/>
  <c r="X3" i="1"/>
  <c r="T3" i="1"/>
  <c r="O3" i="1"/>
  <c r="X13" i="1"/>
  <c r="O12" i="1"/>
  <c r="X12" i="1"/>
  <c r="T12" i="1"/>
  <c r="M15" i="1"/>
  <c r="N15" i="1" s="1"/>
  <c r="M5" i="1"/>
  <c r="N5" i="1" s="1"/>
  <c r="M4" i="1"/>
  <c r="N4" i="1" s="1"/>
  <c r="M2" i="1"/>
  <c r="N2" i="1" s="1"/>
  <c r="AC12" i="1"/>
  <c r="U7" i="1" l="1"/>
  <c r="AC8" i="1"/>
  <c r="AC10" i="1"/>
  <c r="AC11" i="1"/>
  <c r="AC9" i="1"/>
  <c r="AC16" i="1"/>
  <c r="AC13" i="1"/>
  <c r="AC3" i="1"/>
  <c r="Q12" i="1"/>
  <c r="Q3" i="1"/>
  <c r="Q8" i="1"/>
  <c r="N13" i="1"/>
  <c r="Y13" i="1" s="1"/>
  <c r="Z13" i="1" s="1"/>
  <c r="N10" i="1"/>
  <c r="Y10" i="1" s="1"/>
  <c r="Z10" i="1" s="1"/>
  <c r="N7" i="1"/>
  <c r="N8" i="1"/>
  <c r="P8" i="1" s="1"/>
  <c r="N16" i="1"/>
  <c r="P16" i="1" s="1"/>
  <c r="T13" i="1"/>
  <c r="U13" i="1" s="1"/>
  <c r="O7" i="1"/>
  <c r="P7" i="1" s="1"/>
  <c r="Q9" i="1"/>
  <c r="P9" i="1"/>
  <c r="O10" i="1"/>
  <c r="T16" i="1"/>
  <c r="O13" i="1"/>
  <c r="X7" i="1"/>
  <c r="T8" i="1"/>
  <c r="U8" i="1" s="1"/>
  <c r="Q17" i="1"/>
  <c r="Q11" i="1"/>
  <c r="Q16" i="1"/>
  <c r="N9" i="1"/>
  <c r="U9" i="1" s="1"/>
  <c r="N17" i="1"/>
  <c r="P17" i="1" s="1"/>
  <c r="N3" i="1"/>
  <c r="P3" i="1" s="1"/>
  <c r="N11" i="1"/>
  <c r="U11" i="1" s="1"/>
  <c r="N12" i="1"/>
  <c r="P12" i="1" s="1"/>
  <c r="O4" i="1"/>
  <c r="P4" i="1" s="1"/>
  <c r="X4" i="1"/>
  <c r="T4" i="1"/>
  <c r="U4" i="1" s="1"/>
  <c r="Q7" i="1"/>
  <c r="O5" i="1"/>
  <c r="P5" i="1" s="1"/>
  <c r="T5" i="1"/>
  <c r="U5" i="1" s="1"/>
  <c r="X5" i="1"/>
  <c r="Q13" i="1"/>
  <c r="X15" i="1"/>
  <c r="T15" i="1"/>
  <c r="U15" i="1" s="1"/>
  <c r="O15" i="1"/>
  <c r="P15" i="1" s="1"/>
  <c r="O6" i="1"/>
  <c r="P6" i="1" s="1"/>
  <c r="T6" i="1"/>
  <c r="U6" i="1" s="1"/>
  <c r="X6" i="1"/>
  <c r="X2" i="1"/>
  <c r="T2" i="1"/>
  <c r="V2" i="1" s="1"/>
  <c r="O2" i="1"/>
  <c r="O14" i="1"/>
  <c r="P14" i="1" s="1"/>
  <c r="T14" i="1"/>
  <c r="U14" i="1" s="1"/>
  <c r="X14" i="1"/>
  <c r="U10" i="1" l="1"/>
  <c r="AC4" i="1"/>
  <c r="Y4" i="1"/>
  <c r="Z4" i="1" s="1"/>
  <c r="P11" i="1"/>
  <c r="AC7" i="1"/>
  <c r="Y7" i="1"/>
  <c r="Z7" i="1" s="1"/>
  <c r="U12" i="1"/>
  <c r="Y9" i="1"/>
  <c r="Z9" i="1" s="1"/>
  <c r="Y16" i="1"/>
  <c r="Z16" i="1" s="1"/>
  <c r="Y12" i="1"/>
  <c r="Z12" i="1" s="1"/>
  <c r="AC5" i="1"/>
  <c r="Y5" i="1"/>
  <c r="Z5" i="1" s="1"/>
  <c r="AC6" i="1"/>
  <c r="Y6" i="1"/>
  <c r="Z6" i="1" s="1"/>
  <c r="AC15" i="1"/>
  <c r="Y15" i="1"/>
  <c r="Z15" i="1" s="1"/>
  <c r="AC14" i="1"/>
  <c r="Y14" i="1"/>
  <c r="Z14" i="1" s="1"/>
  <c r="U16" i="1"/>
  <c r="Y11" i="1"/>
  <c r="Z11" i="1" s="1"/>
  <c r="Y8" i="1"/>
  <c r="Z8" i="1" s="1"/>
  <c r="U3" i="1"/>
  <c r="Y3" i="1"/>
  <c r="Z3" i="1" s="1"/>
  <c r="V9" i="1"/>
  <c r="P13" i="1"/>
  <c r="Q4" i="1"/>
  <c r="Q2" i="1"/>
  <c r="P2" i="1"/>
  <c r="Q10" i="1"/>
  <c r="P10" i="1"/>
  <c r="V4" i="1"/>
  <c r="V16" i="1"/>
  <c r="X23" i="1"/>
  <c r="V14" i="1"/>
  <c r="V5" i="1"/>
  <c r="V10" i="1"/>
  <c r="V11" i="1"/>
  <c r="V3" i="1"/>
  <c r="AC2" i="1"/>
  <c r="AC23" i="1" s="1"/>
  <c r="Q14" i="1"/>
  <c r="Q6" i="1"/>
  <c r="Q15" i="1"/>
  <c r="V8" i="1"/>
  <c r="V15" i="1"/>
  <c r="V6" i="1"/>
  <c r="V7" i="1"/>
  <c r="V12" i="1"/>
  <c r="V13" i="1"/>
  <c r="Q5" i="1"/>
  <c r="Y23" i="1" l="1"/>
  <c r="W13" i="1"/>
  <c r="W9" i="1"/>
  <c r="W5" i="1"/>
  <c r="W16" i="1"/>
  <c r="W12" i="1"/>
  <c r="W4" i="1"/>
  <c r="W11" i="1"/>
  <c r="W7" i="1"/>
  <c r="W14" i="1"/>
  <c r="W6" i="1"/>
  <c r="W8" i="1"/>
  <c r="W15" i="1"/>
  <c r="W3" i="1"/>
  <c r="W10" i="1"/>
</calcChain>
</file>

<file path=xl/sharedStrings.xml><?xml version="1.0" encoding="utf-8"?>
<sst xmlns="http://schemas.openxmlformats.org/spreadsheetml/2006/main" count="50" uniqueCount="50">
  <si>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</si>
  <si>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</si>
  <si>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</si>
  <si>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</si>
  <si>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</si>
  <si>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</si>
  <si>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</si>
  <si>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</si>
  <si>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</si>
  <si>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</si>
  <si>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CT14 1 mL</t>
  </si>
  <si>
    <t>CT14 2 mL</t>
  </si>
  <si>
    <t>CT14 3 mL</t>
  </si>
  <si>
    <t>CT14 4 mL</t>
  </si>
  <si>
    <t>CT14 5 mL</t>
  </si>
  <si>
    <t>CT14 6 mL</t>
  </si>
  <si>
    <t>CT14 7 mL</t>
  </si>
  <si>
    <t>CT14 8 mL</t>
  </si>
  <si>
    <t>CT14 9 mL</t>
  </si>
  <si>
    <t>CT14 10 mL</t>
  </si>
  <si>
    <t>CT14 11 mL</t>
  </si>
  <si>
    <t>CT14 12 mL</t>
  </si>
  <si>
    <t>CT14 13 mL</t>
  </si>
  <si>
    <t>CT14 14 mL</t>
  </si>
  <si>
    <t>CT14 15 mL</t>
  </si>
  <si>
    <t>Blk</t>
  </si>
  <si>
    <t>Weight of Eluate (g)</t>
  </si>
  <si>
    <t>Weight Corrected Sr-90 Activity (DPM)</t>
  </si>
  <si>
    <t>Cumulative Counts (DPM)</t>
  </si>
  <si>
    <t>2 mL/min</t>
  </si>
  <si>
    <t>Time from 05.06.2018</t>
  </si>
  <si>
    <t>DC factor</t>
  </si>
  <si>
    <t>DC to 05.06.2018</t>
  </si>
  <si>
    <t>Decay constant of sr-90=</t>
  </si>
  <si>
    <t>Measured counts (cpm)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</si>
  <si>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</si>
  <si>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</si>
  <si>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</si>
  <si>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</si>
  <si>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</si>
  <si>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</si>
  <si>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</si>
  <si>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 (g) σ</t>
  </si>
  <si>
    <t>Weight Corrected Sr-90 Activity (DPM) σ</t>
  </si>
  <si>
    <t>Cumulative Activity (DPM) σ</t>
  </si>
  <si>
    <t>Activity (bq)</t>
  </si>
  <si>
    <t>Activity (Bq) σ</t>
  </si>
  <si>
    <t>Activity (Bq) σ ^2</t>
  </si>
  <si>
    <t>Sr-90 activity recovered</t>
  </si>
  <si>
    <t>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</si>
</sst>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22" fontId="0" fillId="0" borderId="0" xfId="0" applyNumberFormat="1"/>
    <xf numFmtId="0" fontId="0" fillId="2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1" xfId="0" applyFill="1" applyBorder="1"/>
    <xf numFmtId="0" fontId="0" fillId="3" borderId="0" xfId="0" applyFill="1"/>
    <xf numFmtId="166" fontId="0" fillId="3" borderId="3" xfId="0" applyNumberFormat="1" applyFill="1" applyBorder="1"/>
    <xf numFmtId="166" fontId="0" fillId="3" borderId="1" xfId="0" applyNumberFormat="1" applyFill="1" applyBorder="1"/>
    <xf numFmtId="0" fontId="0" fillId="0" borderId="2" xfId="0" applyBorder="1"/>
    <xf numFmtId="0" fontId="1" fillId="0" borderId="0" xfId="0" applyFont="1"/>
    <xf numFmtId="0" fontId="0" fillId="0" borderId="1" xfId="0" applyBorder="1"/>
    <xf numFmtId="22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22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2" fontId="0" fillId="0" borderId="9" xfId="0" applyNumberFormat="1" applyBorder="1"/>
    <xf numFmtId="22" fontId="0" fillId="0" borderId="3" xfId="0" applyNumberFormat="1" applyBorder="1"/>
    <xf numFmtId="0" fontId="0" fillId="0" borderId="3" xfId="0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4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"/>
  <sheetViews>
    <sheetView tabSelected="1" workbookViewId="0">
      <selection activeCell="C22" sqref="C22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22.140625" bestFit="1" customWidth="1"/>
    <col min="5" max="6" width="22.140625" style="6" customWidth="1"/>
    <col min="7" max="7" width="31.5703125" bestFit="1" customWidth="1"/>
    <col min="8" max="8" width="31.5703125" customWidth="1"/>
    <col min="9" max="9" width="17.7109375" bestFit="1" customWidth="1"/>
    <col min="10" max="12" width="17.7109375" customWidth="1"/>
    <col min="13" max="13" width="12.140625" bestFit="1" customWidth="1"/>
    <col min="14" max="14" width="12.140625" customWidth="1"/>
    <col min="15" max="15" width="12.140625" bestFit="1" customWidth="1"/>
    <col min="16" max="16" width="12.140625" customWidth="1"/>
    <col min="17" max="17" width="12" bestFit="1" customWidth="1"/>
    <col min="18" max="18" width="18.85546875" bestFit="1" customWidth="1"/>
    <col min="19" max="19" width="20.42578125" bestFit="1" customWidth="1"/>
    <col min="20" max="20" width="35.42578125" bestFit="1" customWidth="1"/>
    <col min="21" max="21" width="35.42578125" customWidth="1"/>
    <col min="22" max="22" width="24.140625" bestFit="1" customWidth="1"/>
    <col min="23" max="23" width="24.140625" customWidth="1"/>
    <col min="24" max="24" width="12" customWidth="1"/>
    <col min="25" max="25" width="13.5703125" bestFit="1" customWidth="1"/>
    <col min="26" max="26" width="16" bestFit="1" customWidth="1"/>
    <col min="27" max="27" width="20" bestFit="1" customWidth="1"/>
    <col min="28" max="28" width="10.5703125" bestFit="1" customWidth="1"/>
    <col min="29" max="29" width="15.42578125" bestFit="1" customWidth="1"/>
    <col min="30" max="30" width="24.140625" customWidth="1"/>
    <col min="31" max="31" width="22.140625" bestFit="1" customWidth="1"/>
  </cols>
  <sheetData>
    <row r="1" spans="1:31" ht="15.75" thickBot="1" x14ac:dyDescent="0.3">
      <c r="A1" s="24" t="s">
        <v>2</v>
      </c>
      <c r="B1" s="25" t="s">
        <v>4</v>
      </c>
      <c r="C1" s="9" t="s">
        <v>3</v>
      </c>
      <c r="D1" s="9" t="s">
        <v>34</v>
      </c>
      <c r="E1" s="3" t="s">
        <v>35</v>
      </c>
      <c r="F1" s="3" t="s">
        <v>36</v>
      </c>
      <c r="G1" s="9" t="s">
        <v>9</v>
      </c>
      <c r="H1" s="3" t="s">
        <v>37</v>
      </c>
      <c r="I1" s="9" t="s">
        <v>0</v>
      </c>
      <c r="J1" s="3" t="s">
        <v>38</v>
      </c>
      <c r="K1" s="9" t="s">
        <v>5</v>
      </c>
      <c r="L1" s="3" t="s">
        <v>39</v>
      </c>
      <c r="M1" s="9" t="s">
        <v>6</v>
      </c>
      <c r="N1" s="3" t="s">
        <v>40</v>
      </c>
      <c r="O1" s="9" t="s">
        <v>7</v>
      </c>
      <c r="P1" s="3" t="s">
        <v>41</v>
      </c>
      <c r="Q1" s="9" t="s">
        <v>8</v>
      </c>
      <c r="R1" s="9" t="s">
        <v>26</v>
      </c>
      <c r="S1" s="3" t="s">
        <v>42</v>
      </c>
      <c r="T1" s="9" t="s">
        <v>27</v>
      </c>
      <c r="U1" s="3" t="s">
        <v>43</v>
      </c>
      <c r="V1" s="9" t="s">
        <v>28</v>
      </c>
      <c r="W1" s="3" t="s">
        <v>44</v>
      </c>
      <c r="X1" s="9" t="s">
        <v>45</v>
      </c>
      <c r="Y1" s="3" t="s">
        <v>46</v>
      </c>
      <c r="Z1" s="3" t="s">
        <v>47</v>
      </c>
      <c r="AA1" s="9" t="s">
        <v>30</v>
      </c>
      <c r="AB1" s="9" t="s">
        <v>31</v>
      </c>
      <c r="AC1" s="26" t="s">
        <v>32</v>
      </c>
    </row>
    <row r="2" spans="1:31" x14ac:dyDescent="0.25">
      <c r="A2" s="18" t="s">
        <v>10</v>
      </c>
      <c r="B2" s="19">
        <v>43299.453472222223</v>
      </c>
      <c r="C2" s="20">
        <v>43302.520833333336</v>
      </c>
      <c r="D2" s="21">
        <v>5.69</v>
      </c>
      <c r="E2" s="4">
        <v>7.74</v>
      </c>
      <c r="F2" s="4">
        <f>D2*(E2/100)</f>
        <v>0.44040600000000002</v>
      </c>
      <c r="G2" s="21">
        <f>D2-$D$17</f>
        <v>-2.0199999999999996</v>
      </c>
      <c r="H2" s="4">
        <f>SQRT((F2^2)+(F$17^2))</f>
        <v>0.67589504811102152</v>
      </c>
      <c r="I2" s="22">
        <f>(C2-B2)*24</f>
        <v>73.616666666697711</v>
      </c>
      <c r="J2" s="7">
        <f>1/60</f>
        <v>1.6666666666666666E-2</v>
      </c>
      <c r="K2" s="21">
        <f>1-EXP(-$AE$3*I2)</f>
        <v>0.56441339714553429</v>
      </c>
      <c r="L2" s="4">
        <f>K2*SQRT(((J2/I2)^2))</f>
        <v>1.2778206863149112E-4</v>
      </c>
      <c r="M2" s="21">
        <f>G2/((1+K2))</f>
        <v>-1.2912188067973205</v>
      </c>
      <c r="N2" s="4">
        <f t="shared" ref="N2:N17" si="0">M2*SQRT(((H2/G2)^2)+((L2/K2)^2))</f>
        <v>-0.43204386005737855</v>
      </c>
      <c r="O2" s="21">
        <f>M2*K2</f>
        <v>-0.72878119320267898</v>
      </c>
      <c r="P2" s="4">
        <f t="shared" ref="P2:P17" si="1">O2*SQRT(((N2/M2)^2)+((L2/K2)^2))</f>
        <v>-0.24385139859014615</v>
      </c>
      <c r="Q2" s="21">
        <f>M2+O2</f>
        <v>-2.0199999999999996</v>
      </c>
      <c r="R2" s="21">
        <v>0.96530000000000005</v>
      </c>
      <c r="S2" s="4">
        <v>1.4142135623730951E-4</v>
      </c>
      <c r="T2" s="21">
        <f>M2/R2</f>
        <v>-1.3376347319976385</v>
      </c>
      <c r="U2" s="4">
        <f>T2*SQRT(((S2/R2)^2)+((N2/M2)^2))</f>
        <v>-0.44757474512729933</v>
      </c>
      <c r="V2" s="21">
        <f>SUM($T$2:T2)</f>
        <v>-1.3376347319976385</v>
      </c>
      <c r="W2" s="4">
        <f>SQRT((U2^2))</f>
        <v>0.44757474512729933</v>
      </c>
      <c r="X2" s="21">
        <f>M2/60</f>
        <v>-2.1520313446622009E-2</v>
      </c>
      <c r="Y2" s="4">
        <f>X2*SQRT(((N2/M2)^2))</f>
        <v>-7.2007310009563098E-3</v>
      </c>
      <c r="Z2" s="4">
        <f>Y2^2</f>
        <v>5.185052694813326E-5</v>
      </c>
      <c r="AA2" s="21">
        <f>(C2-$AE$6)*24</f>
        <v>264.50000000005821</v>
      </c>
      <c r="AB2" s="23">
        <f>EXP(-$AE$9*AA2)</f>
        <v>0.99927356501366937</v>
      </c>
      <c r="AC2" s="21">
        <f>X2/AB2</f>
        <v>-2.1535957919919184E-2</v>
      </c>
      <c r="AE2" t="s">
        <v>1</v>
      </c>
    </row>
    <row r="3" spans="1:31" x14ac:dyDescent="0.25">
      <c r="A3" s="16" t="s">
        <v>11</v>
      </c>
      <c r="B3" s="15">
        <v>43299.453819444447</v>
      </c>
      <c r="C3" s="12">
        <v>43302.543749999997</v>
      </c>
      <c r="D3" s="11">
        <v>6.72</v>
      </c>
      <c r="E3" s="5">
        <v>7.12</v>
      </c>
      <c r="F3" s="5">
        <f t="shared" ref="F3:F17" si="2">D3*(E3/100)</f>
        <v>0.478464</v>
      </c>
      <c r="G3" s="11">
        <f t="shared" ref="G3:G17" si="3">D3-$D$17</f>
        <v>-0.99000000000000021</v>
      </c>
      <c r="H3" s="5">
        <f>SQRT((F3^2)+(F$17^2))</f>
        <v>0.70128772306450649</v>
      </c>
      <c r="I3" s="13">
        <f t="shared" ref="I3:I17" si="4">(C3-B3)*24</f>
        <v>74.158333333209157</v>
      </c>
      <c r="J3" s="8">
        <f t="shared" ref="J3:J17" si="5">1/60</f>
        <v>1.6666666666666666E-2</v>
      </c>
      <c r="K3" s="11">
        <f>1-EXP(-$AE$3*I3)</f>
        <v>0.56706883754164739</v>
      </c>
      <c r="L3" s="5">
        <f t="shared" ref="L3:L17" si="6">K3*SQRT(((J3/I3)^2))</f>
        <v>1.2744551916902955E-4</v>
      </c>
      <c r="M3" s="11">
        <f>G3/((1+K3))</f>
        <v>-0.63175271965274427</v>
      </c>
      <c r="N3" s="5">
        <f t="shared" si="0"/>
        <v>-0.44751560464973034</v>
      </c>
      <c r="O3" s="11">
        <f>M3*K3</f>
        <v>-0.35824728034725595</v>
      </c>
      <c r="P3" s="5">
        <f t="shared" si="1"/>
        <v>-0.25377216648277884</v>
      </c>
      <c r="Q3" s="11">
        <f t="shared" ref="Q3:Q17" si="7">M3+O3</f>
        <v>-0.99000000000000021</v>
      </c>
      <c r="R3" s="11">
        <v>1.0236999999999998</v>
      </c>
      <c r="S3" s="5">
        <v>1.4142135623730951E-4</v>
      </c>
      <c r="T3" s="11">
        <f>M3/R3</f>
        <v>-0.61712681415721826</v>
      </c>
      <c r="U3" s="5">
        <f t="shared" ref="U3:U16" si="8">T3*SQRT(((S3/R3)^2)+((N3/M3)^2))</f>
        <v>-0.43715503874176775</v>
      </c>
      <c r="V3" s="11">
        <f>SUM($T$2:T3)</f>
        <v>-1.9547615461548569</v>
      </c>
      <c r="W3" s="5">
        <f>SQRT((U3^2)+(U2^2))</f>
        <v>0.62564181475752034</v>
      </c>
      <c r="X3" s="11">
        <f t="shared" ref="X3:X17" si="9">M3/60</f>
        <v>-1.0529211994212405E-2</v>
      </c>
      <c r="Y3" s="5">
        <f t="shared" ref="Y3:Y16" si="10">X3*SQRT(((N3/M3)^2))</f>
        <v>-7.45859341082884E-3</v>
      </c>
      <c r="Z3" s="5">
        <f t="shared" ref="Z3:Z16" si="11">Y3^2</f>
        <v>5.5630615668059388E-5</v>
      </c>
      <c r="AA3" s="11">
        <f>(C3-$AE$6)*24</f>
        <v>265.04999999993015</v>
      </c>
      <c r="AB3" s="14">
        <f t="shared" ref="AB3:AB16" si="12">EXP(-$AE$9*AA3)</f>
        <v>0.99927205501825977</v>
      </c>
      <c r="AC3" s="11">
        <f t="shared" ref="AC3:AC16" si="13">X3/AB3</f>
        <v>-1.053688226478024E-2</v>
      </c>
      <c r="AE3">
        <f>LN(2)/61.4</f>
        <v>1.1289042028663604E-2</v>
      </c>
    </row>
    <row r="4" spans="1:31" x14ac:dyDescent="0.25">
      <c r="A4" s="16" t="s">
        <v>12</v>
      </c>
      <c r="B4" s="19">
        <v>43299.45416666667</v>
      </c>
      <c r="C4" s="12">
        <v>43302.565972222219</v>
      </c>
      <c r="D4" s="11">
        <v>6.65</v>
      </c>
      <c r="E4" s="5">
        <v>7.16</v>
      </c>
      <c r="F4" s="5">
        <f t="shared" si="2"/>
        <v>0.47614000000000001</v>
      </c>
      <c r="G4" s="11">
        <f t="shared" si="3"/>
        <v>-1.0599999999999996</v>
      </c>
      <c r="H4" s="5">
        <f t="shared" ref="H4:H17" si="14">SQRT((F4^2)+(F$17^2))</f>
        <v>0.69970420237769049</v>
      </c>
      <c r="I4" s="13">
        <f t="shared" si="4"/>
        <v>74.683333333174232</v>
      </c>
      <c r="J4" s="8">
        <f t="shared" si="5"/>
        <v>1.6666666666666666E-2</v>
      </c>
      <c r="K4" s="11">
        <f>1-EXP(-$AE$3*I4)</f>
        <v>0.56962712239572766</v>
      </c>
      <c r="L4" s="5">
        <f t="shared" si="6"/>
        <v>1.2712053612964544E-4</v>
      </c>
      <c r="M4" s="11">
        <f>G4/((1+K4))</f>
        <v>-0.67531962519997601</v>
      </c>
      <c r="N4" s="5">
        <f t="shared" si="0"/>
        <v>-0.44577736481553276</v>
      </c>
      <c r="O4" s="11">
        <f>M4*K4</f>
        <v>-0.38468037480002365</v>
      </c>
      <c r="P4" s="5">
        <f t="shared" si="1"/>
        <v>-0.25392689206049524</v>
      </c>
      <c r="Q4" s="11">
        <f t="shared" si="7"/>
        <v>-1.0599999999999996</v>
      </c>
      <c r="R4" s="11">
        <v>1.0226999999999995</v>
      </c>
      <c r="S4" s="5">
        <v>1.4142135623730951E-4</v>
      </c>
      <c r="T4" s="11">
        <f>M4/R4</f>
        <v>-0.66033013122125384</v>
      </c>
      <c r="U4" s="5">
        <f t="shared" si="8"/>
        <v>-0.43588283425931834</v>
      </c>
      <c r="V4" s="11">
        <f>SUM($T$2:T4)</f>
        <v>-2.6150916773761108</v>
      </c>
      <c r="W4" s="5">
        <f>SQRT((U4^2)+(U3^2)+(U2^2))</f>
        <v>0.76251001670471175</v>
      </c>
      <c r="X4" s="11">
        <f t="shared" si="9"/>
        <v>-1.1255327086666267E-2</v>
      </c>
      <c r="Y4" s="5">
        <f t="shared" si="10"/>
        <v>-7.429622746925546E-3</v>
      </c>
      <c r="Z4" s="5">
        <f t="shared" si="11"/>
        <v>5.5199294161633499E-5</v>
      </c>
      <c r="AA4" s="11">
        <f>(C4-$AE$6)*24</f>
        <v>265.58333333325572</v>
      </c>
      <c r="AB4" s="14">
        <f t="shared" si="12"/>
        <v>0.99927059078246561</v>
      </c>
      <c r="AC4" s="11">
        <f t="shared" si="13"/>
        <v>-1.1263542818620262E-2</v>
      </c>
    </row>
    <row r="5" spans="1:31" x14ac:dyDescent="0.25">
      <c r="A5" s="16" t="s">
        <v>13</v>
      </c>
      <c r="B5" s="15">
        <v>43299.454513888886</v>
      </c>
      <c r="C5" s="12">
        <v>43302.588888888888</v>
      </c>
      <c r="D5" s="11">
        <v>7.98</v>
      </c>
      <c r="E5" s="5">
        <v>6.54</v>
      </c>
      <c r="F5" s="5">
        <f t="shared" si="2"/>
        <v>0.52189200000000002</v>
      </c>
      <c r="G5" s="11">
        <f t="shared" si="3"/>
        <v>0.27000000000000046</v>
      </c>
      <c r="H5" s="5">
        <f t="shared" si="14"/>
        <v>0.73160640435209423</v>
      </c>
      <c r="I5" s="13">
        <f t="shared" si="4"/>
        <v>75.225000000034925</v>
      </c>
      <c r="J5" s="8">
        <f t="shared" si="5"/>
        <v>1.6666666666666666E-2</v>
      </c>
      <c r="K5" s="11">
        <f>1-EXP(-$AE$3*I5)</f>
        <v>0.57225077867401375</v>
      </c>
      <c r="L5" s="5">
        <f t="shared" si="6"/>
        <v>1.2678648026448391E-4</v>
      </c>
      <c r="M5" s="11">
        <f>G5/((1+K5))</f>
        <v>0.17172832964198617</v>
      </c>
      <c r="N5" s="5">
        <f t="shared" si="0"/>
        <v>0.46532424516574344</v>
      </c>
      <c r="O5" s="11">
        <f>M5*K5</f>
        <v>9.8271670358014304E-2</v>
      </c>
      <c r="P5" s="5">
        <f t="shared" si="1"/>
        <v>0.26628216252213316</v>
      </c>
      <c r="Q5" s="11">
        <f t="shared" si="7"/>
        <v>0.27000000000000046</v>
      </c>
      <c r="R5" s="11">
        <v>0.91690000000000005</v>
      </c>
      <c r="S5" s="5">
        <v>1.4142135623730951E-4</v>
      </c>
      <c r="T5" s="11">
        <f>M5/R5</f>
        <v>0.18729232156395045</v>
      </c>
      <c r="U5" s="5">
        <f t="shared" si="8"/>
        <v>0.50749726897108982</v>
      </c>
      <c r="V5" s="11">
        <f>SUM($T$2:T5)</f>
        <v>-2.4277993558121604</v>
      </c>
      <c r="W5" s="5">
        <f>SQRT((U5^2)+(U4^2)+(U3^2)+(U2^2))</f>
        <v>0.91595578691776081</v>
      </c>
      <c r="X5" s="11">
        <f t="shared" si="9"/>
        <v>2.8621388273664364E-3</v>
      </c>
      <c r="Y5" s="5">
        <f t="shared" si="10"/>
        <v>7.7554040860957248E-3</v>
      </c>
      <c r="Z5" s="5">
        <f t="shared" si="11"/>
        <v>6.0146292538630266E-5</v>
      </c>
      <c r="AA5" s="11">
        <f>(C5-$AE$6)*24</f>
        <v>266.13333333330229</v>
      </c>
      <c r="AB5" s="14">
        <f t="shared" si="12"/>
        <v>0.99926908079154997</v>
      </c>
      <c r="AC5" s="11">
        <f t="shared" si="13"/>
        <v>2.8642323498083754E-3</v>
      </c>
    </row>
    <row r="6" spans="1:31" x14ac:dyDescent="0.25">
      <c r="A6" s="16" t="s">
        <v>14</v>
      </c>
      <c r="B6" s="19">
        <v>43299.454861111109</v>
      </c>
      <c r="C6" s="12">
        <v>43302.611805555556</v>
      </c>
      <c r="D6" s="11">
        <v>9.7899999999999991</v>
      </c>
      <c r="E6" s="5">
        <v>5.9</v>
      </c>
      <c r="F6" s="5">
        <f t="shared" si="2"/>
        <v>0.57760999999999996</v>
      </c>
      <c r="G6" s="11">
        <f t="shared" si="3"/>
        <v>2.0799999999999992</v>
      </c>
      <c r="H6" s="5">
        <f t="shared" si="14"/>
        <v>0.77234058764576141</v>
      </c>
      <c r="I6" s="13">
        <f t="shared" si="4"/>
        <v>75.766666666720994</v>
      </c>
      <c r="J6" s="8">
        <f t="shared" si="5"/>
        <v>1.6666666666666666E-2</v>
      </c>
      <c r="K6" s="11">
        <f>1-EXP(-$AE$3*I6)</f>
        <v>0.57485844051355728</v>
      </c>
      <c r="L6" s="5">
        <f t="shared" si="6"/>
        <v>1.2645368247099538E-4</v>
      </c>
      <c r="M6" s="11">
        <f>G6/((1+K6))</f>
        <v>1.3207536287018384</v>
      </c>
      <c r="N6" s="5">
        <f t="shared" si="0"/>
        <v>0.4904191407336061</v>
      </c>
      <c r="O6" s="11">
        <f>M6*K6</f>
        <v>0.75924637129816075</v>
      </c>
      <c r="P6" s="5">
        <f t="shared" si="1"/>
        <v>0.2819216319108393</v>
      </c>
      <c r="Q6" s="11">
        <f t="shared" si="7"/>
        <v>2.0799999999999992</v>
      </c>
      <c r="R6" s="11">
        <v>0.79410000000000025</v>
      </c>
      <c r="S6" s="5">
        <v>1.4142135623730951E-4</v>
      </c>
      <c r="T6" s="11">
        <f>M6/R6</f>
        <v>1.6632081963251959</v>
      </c>
      <c r="U6" s="5">
        <f t="shared" si="8"/>
        <v>0.61757863888637443</v>
      </c>
      <c r="V6" s="11">
        <f>SUM($T$2:T6)</f>
        <v>-0.76459115948696454</v>
      </c>
      <c r="W6" s="5">
        <f>SQRT((U6^2)+(U5^2)+(U4^2)+(U3^2)+(U2^2))</f>
        <v>1.1047073724733085</v>
      </c>
      <c r="X6" s="11">
        <f t="shared" si="9"/>
        <v>2.2012560478363974E-2</v>
      </c>
      <c r="Y6" s="5">
        <f t="shared" si="10"/>
        <v>8.1736523455601014E-3</v>
      </c>
      <c r="Z6" s="5">
        <f t="shared" si="11"/>
        <v>6.6808592666080141E-5</v>
      </c>
      <c r="AA6" s="11">
        <f>(C6-$AE$6)*24</f>
        <v>266.68333333334886</v>
      </c>
      <c r="AB6" s="14">
        <f t="shared" si="12"/>
        <v>0.99926757080291595</v>
      </c>
      <c r="AC6" s="11">
        <f t="shared" si="13"/>
        <v>2.2028694937710012E-2</v>
      </c>
      <c r="AE6" s="1">
        <v>43291.5</v>
      </c>
    </row>
    <row r="7" spans="1:31" x14ac:dyDescent="0.25">
      <c r="A7" s="16" t="s">
        <v>15</v>
      </c>
      <c r="B7" s="15">
        <v>43299.455208333333</v>
      </c>
      <c r="C7" s="12">
        <v>43302.634722222225</v>
      </c>
      <c r="D7" s="11">
        <v>73.87</v>
      </c>
      <c r="E7" s="5">
        <v>2.15</v>
      </c>
      <c r="F7" s="5">
        <f t="shared" si="2"/>
        <v>1.5882049999999999</v>
      </c>
      <c r="G7" s="11">
        <f t="shared" si="3"/>
        <v>66.160000000000011</v>
      </c>
      <c r="H7" s="5">
        <f t="shared" si="14"/>
        <v>1.6689133570230659</v>
      </c>
      <c r="I7" s="13">
        <f t="shared" si="4"/>
        <v>76.308333333407063</v>
      </c>
      <c r="J7" s="8">
        <f t="shared" si="5"/>
        <v>1.6666666666666666E-2</v>
      </c>
      <c r="K7" s="11">
        <f>1-EXP(-$AE$3*I7)</f>
        <v>0.57745020542113612</v>
      </c>
      <c r="L7" s="5">
        <f t="shared" si="6"/>
        <v>1.2612213725468564E-4</v>
      </c>
      <c r="M7" s="11">
        <f>G7/((1+K7))</f>
        <v>41.941102021877832</v>
      </c>
      <c r="N7" s="5">
        <f t="shared" si="0"/>
        <v>1.058021297797239</v>
      </c>
      <c r="O7" s="11">
        <f>M7*K7</f>
        <v>24.218897978122182</v>
      </c>
      <c r="P7" s="5">
        <f t="shared" si="1"/>
        <v>0.61097751468528894</v>
      </c>
      <c r="Q7" s="11">
        <f t="shared" si="7"/>
        <v>66.160000000000011</v>
      </c>
      <c r="R7" s="11">
        <v>0.81679999999999975</v>
      </c>
      <c r="S7" s="5">
        <v>1.4142135623730951E-4</v>
      </c>
      <c r="T7" s="11">
        <f>M7/R7</f>
        <v>51.348068097303923</v>
      </c>
      <c r="U7" s="5">
        <f t="shared" si="8"/>
        <v>1.2953553107673712</v>
      </c>
      <c r="V7" s="11">
        <f>SUM($T$2:T7)</f>
        <v>50.583476937816961</v>
      </c>
      <c r="W7" s="5">
        <f>SQRT((U7^2)+(U6^2)+(U5^2)+(U4^2)+(U3^2)+(U2^2))</f>
        <v>1.702446404422211</v>
      </c>
      <c r="X7" s="11">
        <f t="shared" si="9"/>
        <v>0.69901836703129716</v>
      </c>
      <c r="Y7" s="5">
        <f t="shared" si="10"/>
        <v>1.763368829662065E-2</v>
      </c>
      <c r="Z7" s="5">
        <f t="shared" si="11"/>
        <v>3.1094696294237605E-4</v>
      </c>
      <c r="AA7" s="11">
        <f>(C7-$AE$6)*24</f>
        <v>267.23333333339542</v>
      </c>
      <c r="AB7" s="14">
        <f t="shared" si="12"/>
        <v>0.99926606081656366</v>
      </c>
      <c r="AC7" s="11">
        <f t="shared" si="13"/>
        <v>0.69953178081529654</v>
      </c>
    </row>
    <row r="8" spans="1:31" x14ac:dyDescent="0.25">
      <c r="A8" s="16" t="s">
        <v>16</v>
      </c>
      <c r="B8" s="19">
        <v>43299.455555555556</v>
      </c>
      <c r="C8" s="12">
        <v>43302.656944444447</v>
      </c>
      <c r="D8" s="11">
        <v>273.68</v>
      </c>
      <c r="E8" s="5">
        <v>1.1200000000000001</v>
      </c>
      <c r="F8" s="5">
        <f t="shared" si="2"/>
        <v>3.0652160000000004</v>
      </c>
      <c r="G8" s="11">
        <f t="shared" si="3"/>
        <v>265.97000000000003</v>
      </c>
      <c r="H8" s="5">
        <f t="shared" si="14"/>
        <v>3.1078007976511302</v>
      </c>
      <c r="I8" s="13">
        <f t="shared" si="4"/>
        <v>76.833333333372138</v>
      </c>
      <c r="J8" s="8">
        <f t="shared" si="5"/>
        <v>1.6666666666666666E-2</v>
      </c>
      <c r="K8" s="11">
        <f>1-EXP(-$AE$3*I8)</f>
        <v>0.57994714450361629</v>
      </c>
      <c r="L8" s="5">
        <f t="shared" si="6"/>
        <v>1.2580198362328055E-4</v>
      </c>
      <c r="M8" s="11">
        <f>G8/((1+K8))</f>
        <v>168.34107452598471</v>
      </c>
      <c r="N8" s="5">
        <f t="shared" si="0"/>
        <v>1.9673672552869739</v>
      </c>
      <c r="O8" s="11">
        <f>M8*K8</f>
        <v>97.62892547401529</v>
      </c>
      <c r="P8" s="5">
        <f t="shared" si="1"/>
        <v>1.1411655451350695</v>
      </c>
      <c r="Q8" s="11">
        <f t="shared" si="7"/>
        <v>265.97000000000003</v>
      </c>
      <c r="R8" s="11">
        <v>0.84669999999999934</v>
      </c>
      <c r="S8" s="5">
        <v>1.4142135623730951E-4</v>
      </c>
      <c r="T8" s="11">
        <f>M8/R8</f>
        <v>198.820213211273</v>
      </c>
      <c r="U8" s="5">
        <f t="shared" si="8"/>
        <v>2.3238079258218214</v>
      </c>
      <c r="V8" s="11">
        <f>SUM($T$2:T8)</f>
        <v>249.40369014908995</v>
      </c>
      <c r="W8" s="5">
        <f>SQRT((U8^2)+(U7^2)+(U6^2)+(U5^2)+(U4^2)+(U3^2)+(U2^2))</f>
        <v>2.8806955819805795</v>
      </c>
      <c r="X8" s="11">
        <f t="shared" si="9"/>
        <v>2.8056845754330784</v>
      </c>
      <c r="Y8" s="5">
        <f t="shared" si="10"/>
        <v>3.2789454254782899E-2</v>
      </c>
      <c r="Z8" s="5">
        <f t="shared" si="11"/>
        <v>1.0751483103265003E-3</v>
      </c>
      <c r="AA8" s="11">
        <f>(C8-$AE$6)*24</f>
        <v>267.76666666672099</v>
      </c>
      <c r="AB8" s="14">
        <f t="shared" si="12"/>
        <v>0.99926459658955291</v>
      </c>
      <c r="AC8" s="11">
        <f t="shared" si="13"/>
        <v>2.8077494039204023</v>
      </c>
      <c r="AE8" t="s">
        <v>33</v>
      </c>
    </row>
    <row r="9" spans="1:31" x14ac:dyDescent="0.25">
      <c r="A9" s="16" t="s">
        <v>17</v>
      </c>
      <c r="B9" s="15">
        <v>43299.45590277778</v>
      </c>
      <c r="C9" s="12">
        <v>43302.679861111108</v>
      </c>
      <c r="D9" s="11">
        <v>280.3</v>
      </c>
      <c r="E9" s="5">
        <v>1.1000000000000001</v>
      </c>
      <c r="F9" s="5">
        <f t="shared" si="2"/>
        <v>3.0833000000000004</v>
      </c>
      <c r="G9" s="11">
        <f t="shared" si="3"/>
        <v>272.59000000000003</v>
      </c>
      <c r="H9" s="5">
        <f t="shared" si="14"/>
        <v>3.1256384245822488</v>
      </c>
      <c r="I9" s="13">
        <f t="shared" si="4"/>
        <v>77.374999999883585</v>
      </c>
      <c r="J9" s="8">
        <f t="shared" si="5"/>
        <v>1.6666666666666666E-2</v>
      </c>
      <c r="K9" s="11">
        <f>1-EXP(-$AE$3*I9)</f>
        <v>0.58250788745043369</v>
      </c>
      <c r="L9" s="5">
        <f t="shared" si="6"/>
        <v>1.2547288905790201E-4</v>
      </c>
      <c r="M9" s="11">
        <f>G9/((1+K9))</f>
        <v>172.25190608001816</v>
      </c>
      <c r="N9" s="5">
        <f t="shared" si="0"/>
        <v>1.9754655903887597</v>
      </c>
      <c r="O9" s="11">
        <f>M9*K9</f>
        <v>100.33809391998189</v>
      </c>
      <c r="P9" s="5">
        <f t="shared" si="1"/>
        <v>1.1509272374339996</v>
      </c>
      <c r="Q9" s="11">
        <f t="shared" si="7"/>
        <v>272.59000000000003</v>
      </c>
      <c r="R9" s="11">
        <v>0.78129999999999988</v>
      </c>
      <c r="S9" s="5">
        <v>1.4142135623730951E-4</v>
      </c>
      <c r="T9" s="11">
        <f>M9/R9</f>
        <v>220.46832980931549</v>
      </c>
      <c r="U9" s="5">
        <f t="shared" si="8"/>
        <v>2.5287490398472809</v>
      </c>
      <c r="V9" s="11">
        <f>SUM($T$2:T9)</f>
        <v>469.87201995840542</v>
      </c>
      <c r="W9" s="5">
        <f>SQRT((U9^2)+(U8^2)+(U7^2)+(U6^2)+(U5^2)+(U4^2)+(U3^2)+(U2^2))</f>
        <v>3.8331421500605707</v>
      </c>
      <c r="X9" s="11">
        <f t="shared" si="9"/>
        <v>2.8708651013336359</v>
      </c>
      <c r="Y9" s="5">
        <f t="shared" si="10"/>
        <v>3.2924426506479323E-2</v>
      </c>
      <c r="Z9" s="5">
        <f t="shared" si="11"/>
        <v>1.0840178607805582E-3</v>
      </c>
      <c r="AA9" s="11">
        <f>(C9-$AE$6)*24</f>
        <v>268.31666666659294</v>
      </c>
      <c r="AB9" s="14">
        <f t="shared" si="12"/>
        <v>0.99926308660769536</v>
      </c>
      <c r="AC9" s="11">
        <f t="shared" si="13"/>
        <v>2.8729822404224565</v>
      </c>
      <c r="AE9">
        <f>LN(2)/252288</f>
        <v>2.7474441137110973E-6</v>
      </c>
    </row>
    <row r="10" spans="1:31" x14ac:dyDescent="0.25">
      <c r="A10" s="16" t="s">
        <v>18</v>
      </c>
      <c r="B10" s="19">
        <v>43299.456250000003</v>
      </c>
      <c r="C10" s="12">
        <v>43302.702777777777</v>
      </c>
      <c r="D10" s="11">
        <v>178.96</v>
      </c>
      <c r="E10" s="5">
        <v>1.38</v>
      </c>
      <c r="F10" s="5">
        <f t="shared" si="2"/>
        <v>2.4696480000000003</v>
      </c>
      <c r="G10" s="11">
        <f t="shared" si="3"/>
        <v>171.25</v>
      </c>
      <c r="H10" s="5">
        <f t="shared" si="14"/>
        <v>2.5223080531784774</v>
      </c>
      <c r="I10" s="13">
        <f t="shared" si="4"/>
        <v>77.916666666569654</v>
      </c>
      <c r="J10" s="8">
        <f t="shared" si="5"/>
        <v>1.6666666666666666E-2</v>
      </c>
      <c r="K10" s="11">
        <f>1-EXP(-$AE$3*I10)</f>
        <v>0.58505301949493194</v>
      </c>
      <c r="L10" s="5">
        <f t="shared" si="6"/>
        <v>1.2514503090816265E-4</v>
      </c>
      <c r="M10" s="11">
        <f>G10/((1+K10))</f>
        <v>108.04054999659748</v>
      </c>
      <c r="N10" s="5">
        <f t="shared" si="0"/>
        <v>1.591476121545472</v>
      </c>
      <c r="O10" s="11">
        <f>M10*K10</f>
        <v>63.209450003402509</v>
      </c>
      <c r="P10" s="5">
        <f t="shared" si="1"/>
        <v>0.93119607443325902</v>
      </c>
      <c r="Q10" s="11">
        <f t="shared" si="7"/>
        <v>171.25</v>
      </c>
      <c r="R10" s="11">
        <v>0.8158000000000003</v>
      </c>
      <c r="S10" s="5">
        <v>1.4142135623730951E-4</v>
      </c>
      <c r="T10" s="11">
        <f>M10/R10</f>
        <v>132.43509438170807</v>
      </c>
      <c r="U10" s="5">
        <f t="shared" si="8"/>
        <v>1.9509516106080502</v>
      </c>
      <c r="V10" s="11">
        <f>SUM($T$2:T10)</f>
        <v>602.30711434011346</v>
      </c>
      <c r="W10" s="5">
        <f>SQRT((U10^2)+(U9^2)+(U8^2)+(U7^2)+(U6^2)+(U5^2)+(U4^2)+(U3^2)+(U2^2))</f>
        <v>4.3010685799583719</v>
      </c>
      <c r="X10" s="11">
        <f t="shared" si="9"/>
        <v>1.8006758332766246</v>
      </c>
      <c r="Y10" s="5">
        <f t="shared" si="10"/>
        <v>2.6524602025757866E-2</v>
      </c>
      <c r="Z10" s="5">
        <f t="shared" si="11"/>
        <v>7.0355451262483831E-4</v>
      </c>
      <c r="AA10" s="11">
        <f>(C10-$AE$6)*24</f>
        <v>268.8666666666395</v>
      </c>
      <c r="AB10" s="14">
        <f t="shared" si="12"/>
        <v>0.99926157662811921</v>
      </c>
      <c r="AC10" s="11">
        <f t="shared" si="13"/>
        <v>1.802006476975504</v>
      </c>
    </row>
    <row r="11" spans="1:31" x14ac:dyDescent="0.25">
      <c r="A11" s="16" t="s">
        <v>19</v>
      </c>
      <c r="B11" s="15">
        <v>43299.456597222219</v>
      </c>
      <c r="C11" s="12">
        <v>43302.725694444445</v>
      </c>
      <c r="D11" s="11">
        <v>81.88</v>
      </c>
      <c r="E11" s="5">
        <v>2.04</v>
      </c>
      <c r="F11" s="5">
        <f t="shared" si="2"/>
        <v>1.6703520000000001</v>
      </c>
      <c r="G11" s="11">
        <f t="shared" si="3"/>
        <v>74.17</v>
      </c>
      <c r="H11" s="5">
        <f t="shared" si="14"/>
        <v>1.7472700063610662</v>
      </c>
      <c r="I11" s="13">
        <f t="shared" si="4"/>
        <v>78.458333333430346</v>
      </c>
      <c r="J11" s="8">
        <f t="shared" si="5"/>
        <v>1.6666666666666666E-2</v>
      </c>
      <c r="K11" s="11">
        <f>1-EXP(-$AE$3*I11)</f>
        <v>0.58758263580490544</v>
      </c>
      <c r="L11" s="5">
        <f t="shared" si="6"/>
        <v>1.2481840378208791E-4</v>
      </c>
      <c r="M11" s="11">
        <f>G11/((1+K11))</f>
        <v>46.718827938298631</v>
      </c>
      <c r="N11" s="5">
        <f t="shared" si="0"/>
        <v>1.1006299783815956</v>
      </c>
      <c r="O11" s="11">
        <f>M11*K11</f>
        <v>27.451172061701367</v>
      </c>
      <c r="P11" s="5">
        <f t="shared" si="1"/>
        <v>0.64673735382970887</v>
      </c>
      <c r="Q11" s="11">
        <f t="shared" si="7"/>
        <v>74.17</v>
      </c>
      <c r="R11" s="11">
        <v>0.7843</v>
      </c>
      <c r="S11" s="5">
        <v>1.4142135623730951E-4</v>
      </c>
      <c r="T11" s="11">
        <f>M11/R11</f>
        <v>59.567548053421689</v>
      </c>
      <c r="U11" s="5">
        <f t="shared" si="8"/>
        <v>1.4033688851882964</v>
      </c>
      <c r="V11" s="11">
        <f>SUM($T$2:T11)</f>
        <v>661.87466239353512</v>
      </c>
      <c r="W11" s="5">
        <f>SQRT((U11^2)+(U10^2)+(U9^2)+(U8^2)+(U7^2)+(U6^2)+(U5^2)+(U4^2)+(U3^2)+(U2^2))</f>
        <v>4.5242275757768597</v>
      </c>
      <c r="X11" s="11">
        <f t="shared" si="9"/>
        <v>0.77864713230497717</v>
      </c>
      <c r="Y11" s="5">
        <f t="shared" si="10"/>
        <v>1.8343832973026594E-2</v>
      </c>
      <c r="Z11" s="5">
        <f t="shared" si="11"/>
        <v>3.3649620814229771E-4</v>
      </c>
      <c r="AA11" s="11">
        <f>(C11-$AE$6)*24</f>
        <v>269.41666666668607</v>
      </c>
      <c r="AB11" s="14">
        <f t="shared" si="12"/>
        <v>0.99926006665082467</v>
      </c>
      <c r="AC11" s="11">
        <f t="shared" si="13"/>
        <v>0.77922370591144907</v>
      </c>
    </row>
    <row r="12" spans="1:31" x14ac:dyDescent="0.25">
      <c r="A12" s="16" t="s">
        <v>20</v>
      </c>
      <c r="B12" s="19">
        <v>43299.456944444442</v>
      </c>
      <c r="C12" s="12">
        <v>43302.748611111114</v>
      </c>
      <c r="D12" s="11">
        <v>43.94</v>
      </c>
      <c r="E12" s="5">
        <v>2.79</v>
      </c>
      <c r="F12" s="5">
        <f t="shared" si="2"/>
        <v>1.2259260000000001</v>
      </c>
      <c r="G12" s="11">
        <f t="shared" si="3"/>
        <v>36.229999999999997</v>
      </c>
      <c r="H12" s="5">
        <f t="shared" si="14"/>
        <v>1.328823249608841</v>
      </c>
      <c r="I12" s="13">
        <f t="shared" si="4"/>
        <v>79.000000000116415</v>
      </c>
      <c r="J12" s="8">
        <f t="shared" si="5"/>
        <v>1.6666666666666666E-2</v>
      </c>
      <c r="K12" s="11">
        <f>1-EXP(-$AE$3*I12)</f>
        <v>0.59009683096636678</v>
      </c>
      <c r="L12" s="5">
        <f t="shared" si="6"/>
        <v>1.2449300231339605E-4</v>
      </c>
      <c r="M12" s="11">
        <f>G12/((1+K12))</f>
        <v>22.784775929640428</v>
      </c>
      <c r="N12" s="5">
        <f t="shared" si="0"/>
        <v>0.83570082421168379</v>
      </c>
      <c r="O12" s="11">
        <f>M12*K12</f>
        <v>13.44522407035957</v>
      </c>
      <c r="P12" s="5">
        <f t="shared" si="1"/>
        <v>0.49315256577795447</v>
      </c>
      <c r="Q12" s="11">
        <f t="shared" si="7"/>
        <v>36.229999999999997</v>
      </c>
      <c r="R12" s="11">
        <v>0.87220000000000031</v>
      </c>
      <c r="S12" s="5">
        <v>1.4142135623730951E-4</v>
      </c>
      <c r="T12" s="11">
        <f>M12/R12</f>
        <v>26.123338603119034</v>
      </c>
      <c r="U12" s="5">
        <f t="shared" si="8"/>
        <v>0.95816210745042452</v>
      </c>
      <c r="V12" s="11">
        <f>SUM($T$2:T12)</f>
        <v>687.99800099665413</v>
      </c>
      <c r="W12" s="5">
        <f>SQRT((U12^2)+(U11^2)+(U10^2)+(U9^2)+(U8^2)+(U7^2)+(U6^2)+(U5^2)+(U4^2)+(U3^2)+(U2^2))</f>
        <v>4.6245767137732292</v>
      </c>
      <c r="X12" s="11">
        <f t="shared" si="9"/>
        <v>0.37974626549400714</v>
      </c>
      <c r="Y12" s="5">
        <f t="shared" si="10"/>
        <v>1.3928347070194729E-2</v>
      </c>
      <c r="Z12" s="5">
        <f t="shared" si="11"/>
        <v>1.9399885210780209E-4</v>
      </c>
      <c r="AA12" s="11">
        <f>(C12-$AE$6)*24</f>
        <v>269.96666666673264</v>
      </c>
      <c r="AB12" s="14">
        <f t="shared" si="12"/>
        <v>0.99925855667581198</v>
      </c>
      <c r="AC12" s="11">
        <f t="shared" si="13"/>
        <v>0.38002803474337188</v>
      </c>
    </row>
    <row r="13" spans="1:31" x14ac:dyDescent="0.25">
      <c r="A13" s="16" t="s">
        <v>21</v>
      </c>
      <c r="B13" s="15">
        <v>43299.457291666666</v>
      </c>
      <c r="C13" s="12">
        <v>43302.770833333336</v>
      </c>
      <c r="D13" s="11">
        <v>21.73</v>
      </c>
      <c r="E13" s="5">
        <v>3.96</v>
      </c>
      <c r="F13" s="5">
        <f t="shared" si="2"/>
        <v>0.86050799999999994</v>
      </c>
      <c r="G13" s="11">
        <f t="shared" si="3"/>
        <v>14.02</v>
      </c>
      <c r="H13" s="5">
        <f t="shared" si="14"/>
        <v>1.0016739436009103</v>
      </c>
      <c r="I13" s="13">
        <f t="shared" si="4"/>
        <v>79.525000000081491</v>
      </c>
      <c r="J13" s="8">
        <f t="shared" si="5"/>
        <v>1.6666666666666666E-2</v>
      </c>
      <c r="K13" s="11">
        <f>1-EXP(-$AE$3*I13)</f>
        <v>0.59251903837463848</v>
      </c>
      <c r="L13" s="5">
        <f t="shared" si="6"/>
        <v>1.241787778212368E-4</v>
      </c>
      <c r="M13" s="11">
        <f>G13/((1+K13))</f>
        <v>8.8036624129210637</v>
      </c>
      <c r="N13" s="5">
        <f t="shared" si="0"/>
        <v>0.62898981361182782</v>
      </c>
      <c r="O13" s="11">
        <f>M13*K13</f>
        <v>5.2163375870789386</v>
      </c>
      <c r="P13" s="5">
        <f t="shared" si="1"/>
        <v>0.37269004291903496</v>
      </c>
      <c r="Q13" s="11">
        <f t="shared" si="7"/>
        <v>14.020000000000003</v>
      </c>
      <c r="R13" s="11">
        <v>0.76739999999999942</v>
      </c>
      <c r="S13" s="5">
        <v>1.4142135623730951E-4</v>
      </c>
      <c r="T13" s="11">
        <f>M13/R13</f>
        <v>11.472064650665976</v>
      </c>
      <c r="U13" s="5">
        <f t="shared" si="8"/>
        <v>0.81964022150576821</v>
      </c>
      <c r="V13" s="11">
        <f>SUM($T$2:T13)</f>
        <v>699.4700656473201</v>
      </c>
      <c r="W13" s="5">
        <f>SQRT((U13^2)+(U12^2)+(U11^2)+(U10^2)+(U9^2)+(U8^2)+(U7^2)+(U6^2)+(U5^2)+(U4^2)+(U3^2)+(U2^2))</f>
        <v>4.6966498564704215</v>
      </c>
      <c r="X13" s="11">
        <f t="shared" si="9"/>
        <v>0.14672770688201772</v>
      </c>
      <c r="Y13" s="5">
        <f t="shared" si="10"/>
        <v>1.048316356019713E-2</v>
      </c>
      <c r="Z13" s="5">
        <f t="shared" si="11"/>
        <v>1.0989671822984498E-4</v>
      </c>
      <c r="AA13" s="11">
        <f>(C13-$AE$6)*24</f>
        <v>270.50000000005821</v>
      </c>
      <c r="AB13" s="14">
        <f t="shared" si="12"/>
        <v>0.99925709245979688</v>
      </c>
      <c r="AC13" s="11">
        <f t="shared" si="13"/>
        <v>0.14683679304274844</v>
      </c>
    </row>
    <row r="14" spans="1:31" x14ac:dyDescent="0.25">
      <c r="A14" s="16" t="s">
        <v>22</v>
      </c>
      <c r="B14" s="19">
        <v>43299.457638888889</v>
      </c>
      <c r="C14" s="12">
        <v>43302.793749999997</v>
      </c>
      <c r="D14" s="11">
        <v>14.46</v>
      </c>
      <c r="E14" s="5">
        <v>4.8600000000000003</v>
      </c>
      <c r="F14" s="5">
        <f t="shared" si="2"/>
        <v>0.70275600000000016</v>
      </c>
      <c r="G14" s="11">
        <f t="shared" si="3"/>
        <v>6.7500000000000009</v>
      </c>
      <c r="H14" s="5">
        <f t="shared" si="14"/>
        <v>0.86990957389891976</v>
      </c>
      <c r="I14" s="13">
        <f t="shared" si="4"/>
        <v>80.066666666592937</v>
      </c>
      <c r="J14" s="8">
        <f t="shared" si="5"/>
        <v>1.6666666666666666E-2</v>
      </c>
      <c r="K14" s="11">
        <f>1-EXP(-$AE$3*I14)</f>
        <v>0.59500314004134769</v>
      </c>
      <c r="L14" s="5">
        <f t="shared" si="6"/>
        <v>1.238557743634254E-4</v>
      </c>
      <c r="M14" s="11">
        <f>G14/((1+K14))</f>
        <v>4.2319665902507371</v>
      </c>
      <c r="N14" s="5">
        <f t="shared" si="0"/>
        <v>0.54539748969926471</v>
      </c>
      <c r="O14" s="11">
        <f>M14*K14</f>
        <v>2.5180334097492638</v>
      </c>
      <c r="P14" s="5">
        <f t="shared" si="1"/>
        <v>0.32451364224761725</v>
      </c>
      <c r="Q14" s="11">
        <f t="shared" si="7"/>
        <v>6.7500000000000009</v>
      </c>
      <c r="R14" s="11">
        <v>0.81929999999999925</v>
      </c>
      <c r="S14" s="5">
        <v>1.4142135623730951E-4</v>
      </c>
      <c r="T14" s="11">
        <f>M14/R14</f>
        <v>5.1653443064210194</v>
      </c>
      <c r="U14" s="5">
        <f t="shared" si="8"/>
        <v>0.66568775649686751</v>
      </c>
      <c r="V14" s="11">
        <f>SUM($T$2:T14)</f>
        <v>704.63540995374115</v>
      </c>
      <c r="W14" s="5">
        <f>SQRT((U14^2)+(U13^2)+(U12^2)+(U11^2)+(U10^2)+(U9^2)+(U8^2)+(U7^2)+(U6^2)+(U5^2)+(U4^2)+(U3^2)+(U2^2))</f>
        <v>4.743591473075381</v>
      </c>
      <c r="X14" s="11">
        <f t="shared" si="9"/>
        <v>7.0532776504178954E-2</v>
      </c>
      <c r="Y14" s="5">
        <f t="shared" si="10"/>
        <v>9.0899581616544125E-3</v>
      </c>
      <c r="Z14" s="5">
        <f t="shared" si="11"/>
        <v>8.2627339380627666E-5</v>
      </c>
      <c r="AA14" s="11">
        <f>(C14-$AE$6)*24</f>
        <v>271.04999999993015</v>
      </c>
      <c r="AB14" s="14">
        <f t="shared" si="12"/>
        <v>0.99925558248927893</v>
      </c>
      <c r="AC14" s="11">
        <f t="shared" si="13"/>
        <v>7.0585321453468797E-2</v>
      </c>
    </row>
    <row r="15" spans="1:31" x14ac:dyDescent="0.25">
      <c r="A15" s="16" t="s">
        <v>23</v>
      </c>
      <c r="B15" s="15">
        <v>43299.457986111112</v>
      </c>
      <c r="C15" s="12">
        <v>43302.816666666666</v>
      </c>
      <c r="D15" s="11">
        <v>10.4</v>
      </c>
      <c r="E15" s="5">
        <v>5.73</v>
      </c>
      <c r="F15" s="5">
        <f t="shared" si="2"/>
        <v>0.59592000000000001</v>
      </c>
      <c r="G15" s="11">
        <f t="shared" si="3"/>
        <v>2.6900000000000004</v>
      </c>
      <c r="H15" s="5">
        <f t="shared" si="14"/>
        <v>0.78612805421572385</v>
      </c>
      <c r="I15" s="13">
        <f t="shared" si="4"/>
        <v>80.608333333279006</v>
      </c>
      <c r="J15" s="8">
        <f t="shared" si="5"/>
        <v>1.6666666666666666E-2</v>
      </c>
      <c r="K15" s="11">
        <f>1-EXP(-$AE$3*I15)</f>
        <v>0.59747209802933732</v>
      </c>
      <c r="L15" s="5">
        <f t="shared" si="6"/>
        <v>1.2353398077736793E-4</v>
      </c>
      <c r="M15" s="11">
        <f>G15/((1+K15))</f>
        <v>1.6839104753807093</v>
      </c>
      <c r="N15" s="5">
        <f t="shared" si="0"/>
        <v>0.49210765680186519</v>
      </c>
      <c r="O15" s="11">
        <f>M15*K15</f>
        <v>1.0060895246192911</v>
      </c>
      <c r="P15" s="5">
        <f t="shared" si="1"/>
        <v>0.29402066775304553</v>
      </c>
      <c r="Q15" s="11">
        <f t="shared" si="7"/>
        <v>2.6900000000000004</v>
      </c>
      <c r="R15" s="11">
        <v>0.79220000000000024</v>
      </c>
      <c r="S15" s="5">
        <v>1.4142135623730951E-4</v>
      </c>
      <c r="T15" s="11">
        <f>M15/R15</f>
        <v>2.1256128192132149</v>
      </c>
      <c r="U15" s="5">
        <f t="shared" si="8"/>
        <v>0.62119130095393404</v>
      </c>
      <c r="V15" s="11">
        <f>SUM($T$2:T15)</f>
        <v>706.76102277295433</v>
      </c>
      <c r="W15" s="5">
        <f>SQRT((U15^2)+(U14^2)+(U13^2)+(U12^2)+(U11^2)+(U10^2)+(U9^2)+(U8^2)+(U7^2)+(U6^2)+(U5^2)+(U4^2)+(U3^2)+(U2^2))</f>
        <v>4.7840922541078053</v>
      </c>
      <c r="X15" s="11">
        <f t="shared" si="9"/>
        <v>2.8065174589678488E-2</v>
      </c>
      <c r="Y15" s="5">
        <f t="shared" si="10"/>
        <v>8.201794280031087E-3</v>
      </c>
      <c r="Z15" s="5">
        <f t="shared" si="11"/>
        <v>6.7269429411950655E-5</v>
      </c>
      <c r="AA15" s="11">
        <f>(C15-$AE$6)*24</f>
        <v>271.59999999997672</v>
      </c>
      <c r="AB15" s="14">
        <f t="shared" si="12"/>
        <v>0.99925407252104215</v>
      </c>
      <c r="AC15" s="11">
        <f t="shared" si="13"/>
        <v>2.8086124801945698E-2</v>
      </c>
    </row>
    <row r="16" spans="1:31" x14ac:dyDescent="0.25">
      <c r="A16" s="16" t="s">
        <v>24</v>
      </c>
      <c r="B16" s="19">
        <v>43299.458333333336</v>
      </c>
      <c r="C16" s="12">
        <v>43302.839583333334</v>
      </c>
      <c r="D16" s="11">
        <v>10.81</v>
      </c>
      <c r="E16" s="5">
        <v>5.62</v>
      </c>
      <c r="F16" s="5">
        <f t="shared" si="2"/>
        <v>0.60752200000000001</v>
      </c>
      <c r="G16" s="11">
        <f t="shared" si="3"/>
        <v>3.1000000000000005</v>
      </c>
      <c r="H16" s="5">
        <f t="shared" si="14"/>
        <v>0.79495889938348385</v>
      </c>
      <c r="I16" s="13">
        <f t="shared" si="4"/>
        <v>81.149999999965075</v>
      </c>
      <c r="J16" s="8">
        <f t="shared" si="5"/>
        <v>1.6666666666666666E-2</v>
      </c>
      <c r="K16" s="11">
        <f>1-EXP(-$AE$3*I16)</f>
        <v>0.59992600465730639</v>
      </c>
      <c r="L16" s="5">
        <f t="shared" si="6"/>
        <v>1.232133917965834E-4</v>
      </c>
      <c r="M16" s="11">
        <f>G16/((1+K16))</f>
        <v>1.9375896078793968</v>
      </c>
      <c r="N16" s="5">
        <f t="shared" si="0"/>
        <v>0.49687245036811895</v>
      </c>
      <c r="O16" s="11">
        <f>M16*K16</f>
        <v>1.1624103921206035</v>
      </c>
      <c r="P16" s="5">
        <f t="shared" si="1"/>
        <v>0.29808679957558087</v>
      </c>
      <c r="Q16" s="11">
        <f t="shared" si="7"/>
        <v>3.1000000000000005</v>
      </c>
      <c r="R16" s="11">
        <v>0.87899999999999956</v>
      </c>
      <c r="S16" s="5">
        <v>1.4142135623730951E-4</v>
      </c>
      <c r="T16" s="11">
        <f>M16/R16</f>
        <v>2.2043112717626823</v>
      </c>
      <c r="U16" s="5">
        <f t="shared" si="8"/>
        <v>0.56527024819063543</v>
      </c>
      <c r="V16" s="11">
        <f>SUM($T$2:T16)</f>
        <v>708.965334044717</v>
      </c>
      <c r="W16" s="5">
        <f>SQRT((U16^2)+(U15^2)+(U14^2)+(U13^2)+(U12^2)+(U11^2)+(U10^2)+(U9^2)+(U8^2)+(U7^2)+(U6^2)+(U5^2)+(U4^2)+(U3^2)+(U2^2))</f>
        <v>4.8173716017454797</v>
      </c>
      <c r="X16" s="11">
        <f t="shared" si="9"/>
        <v>3.229316013132328E-2</v>
      </c>
      <c r="Y16" s="5">
        <f t="shared" si="10"/>
        <v>8.2812075061353164E-3</v>
      </c>
      <c r="Z16" s="5">
        <f t="shared" si="11"/>
        <v>6.8578397759671913E-5</v>
      </c>
      <c r="AA16" s="11">
        <f>(C16-$AE$6)*24</f>
        <v>272.15000000002328</v>
      </c>
      <c r="AB16" s="14">
        <f t="shared" si="12"/>
        <v>0.9992525625550871</v>
      </c>
      <c r="AC16" s="11">
        <f t="shared" si="13"/>
        <v>3.2317315302899725E-2</v>
      </c>
    </row>
    <row r="17" spans="1:29" ht="15.75" thickBot="1" x14ac:dyDescent="0.3">
      <c r="A17" s="17" t="s">
        <v>25</v>
      </c>
      <c r="B17" s="15">
        <v>43299.458680555559</v>
      </c>
      <c r="C17" s="12">
        <v>43302.862500000003</v>
      </c>
      <c r="D17" s="11">
        <v>7.71</v>
      </c>
      <c r="E17" s="5">
        <v>6.65</v>
      </c>
      <c r="F17" s="5">
        <f t="shared" si="2"/>
        <v>0.51271500000000003</v>
      </c>
      <c r="G17" s="11">
        <f t="shared" si="3"/>
        <v>0</v>
      </c>
      <c r="H17" s="5">
        <f t="shared" si="14"/>
        <v>0.72508850663212143</v>
      </c>
      <c r="I17" s="13">
        <f t="shared" si="4"/>
        <v>81.691666666651145</v>
      </c>
      <c r="J17" s="8">
        <f t="shared" si="5"/>
        <v>1.6666666666666666E-2</v>
      </c>
      <c r="K17" s="11">
        <f>1-EXP(-$AE$3*I17)</f>
        <v>0.60236495168195514</v>
      </c>
      <c r="L17" s="5">
        <f t="shared" si="6"/>
        <v>1.2289400217934705E-4</v>
      </c>
      <c r="M17" s="11">
        <f>G17/((1+K17))</f>
        <v>0</v>
      </c>
      <c r="N17" s="5" t="e">
        <f t="shared" si="0"/>
        <v>#DIV/0!</v>
      </c>
      <c r="O17" s="11">
        <f>M17*K17</f>
        <v>0</v>
      </c>
      <c r="P17" s="5" t="e">
        <f t="shared" si="1"/>
        <v>#DIV/0!</v>
      </c>
      <c r="Q17" s="11">
        <f t="shared" si="7"/>
        <v>0</v>
      </c>
      <c r="R17" s="11"/>
      <c r="S17" s="5"/>
      <c r="T17" s="11"/>
      <c r="U17" s="5"/>
      <c r="V17" s="11"/>
      <c r="W17" s="5"/>
      <c r="X17" s="11">
        <f t="shared" si="9"/>
        <v>0</v>
      </c>
      <c r="Y17" s="5"/>
      <c r="Z17" s="5"/>
      <c r="AA17" s="11"/>
      <c r="AB17" s="11"/>
      <c r="AC17" s="11"/>
    </row>
    <row r="22" spans="1:29" x14ac:dyDescent="0.25">
      <c r="Y22" s="10" t="s">
        <v>49</v>
      </c>
    </row>
    <row r="23" spans="1:29" x14ac:dyDescent="0.25">
      <c r="W23" s="6" t="s">
        <v>48</v>
      </c>
      <c r="X23" s="2">
        <f>SUM(X2:X17)</f>
        <v>9.5938259397590464</v>
      </c>
      <c r="Y23" s="2">
        <f>SQRT(SUM(Z2:Z16))</f>
        <v>6.5743211920996109E-2</v>
      </c>
      <c r="Z23" s="2"/>
      <c r="AB23" s="2"/>
      <c r="AC23">
        <f>SUM(AC2:AC16)</f>
        <v>9.6009037416737399</v>
      </c>
    </row>
    <row r="24" spans="1:29" x14ac:dyDescent="0.25">
      <c r="G24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CT14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2021-06-16T13:40:14Z</dcterms:modified>
</cp:coreProperties>
</file>